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gaarin\Documents\hp\bsl\"/>
    </mc:Choice>
  </mc:AlternateContent>
  <xr:revisionPtr revIDLastSave="0" documentId="13_ncr:1_{6BDF7029-519D-4688-8318-81C7A05197EE}" xr6:coauthVersionLast="47" xr6:coauthVersionMax="47" xr10:uidLastSave="{00000000-0000-0000-0000-000000000000}"/>
  <bookViews>
    <workbookView xWindow="390" yWindow="390" windowWidth="17100" windowHeight="9945" activeTab="4" xr2:uid="{59E85D5D-6371-44F1-A1F5-75648F600BDB}"/>
  </bookViews>
  <sheets>
    <sheet name="Sheet1" sheetId="1" r:id="rId1"/>
    <sheet name="Sheet2" sheetId="2" r:id="rId2"/>
    <sheet name="Sheet3" sheetId="3" r:id="rId3"/>
    <sheet name="Sheet4" sheetId="4" r:id="rId4"/>
    <sheet name="Sheet5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6" l="1"/>
  <c r="D6" i="6"/>
  <c r="F13" i="4"/>
  <c r="E7" i="4"/>
  <c r="E9" i="4" s="1"/>
  <c r="E11" i="4" s="1"/>
  <c r="E14" i="4" s="1"/>
  <c r="E15" i="4" s="1"/>
  <c r="F7" i="4"/>
  <c r="F9" i="4" s="1"/>
  <c r="F11" i="4" s="1"/>
  <c r="F14" i="4" s="1"/>
  <c r="F15" i="4" s="1"/>
  <c r="D7" i="4"/>
  <c r="D9" i="4" s="1"/>
  <c r="D11" i="4" s="1"/>
  <c r="D14" i="4" s="1"/>
  <c r="D15" i="4" s="1"/>
  <c r="F35" i="1"/>
  <c r="F29" i="1"/>
  <c r="E35" i="1"/>
  <c r="E34" i="1"/>
  <c r="E29" i="1"/>
  <c r="E28" i="1"/>
  <c r="E22" i="1"/>
  <c r="E21" i="1"/>
  <c r="E16" i="1"/>
  <c r="E15" i="1"/>
  <c r="I34" i="1"/>
  <c r="H34" i="1"/>
  <c r="D34" i="1"/>
  <c r="H28" i="1"/>
  <c r="I28" i="1"/>
  <c r="D28" i="1"/>
  <c r="D27" i="3"/>
  <c r="E17" i="3"/>
  <c r="F17" i="3"/>
  <c r="G17" i="3"/>
  <c r="H17" i="3"/>
  <c r="I17" i="3"/>
  <c r="J17" i="3"/>
  <c r="K17" i="3"/>
  <c r="L17" i="3"/>
  <c r="M17" i="3"/>
  <c r="N17" i="3"/>
  <c r="E18" i="3"/>
  <c r="F18" i="3"/>
  <c r="G18" i="3"/>
  <c r="H18" i="3"/>
  <c r="I18" i="3"/>
  <c r="J18" i="3"/>
  <c r="K18" i="3"/>
  <c r="L18" i="3"/>
  <c r="M18" i="3"/>
  <c r="N18" i="3"/>
  <c r="E19" i="3"/>
  <c r="F19" i="3"/>
  <c r="G19" i="3"/>
  <c r="H19" i="3"/>
  <c r="I19" i="3"/>
  <c r="J19" i="3"/>
  <c r="K19" i="3"/>
  <c r="L19" i="3"/>
  <c r="M19" i="3"/>
  <c r="N19" i="3"/>
  <c r="E20" i="3"/>
  <c r="F20" i="3"/>
  <c r="G20" i="3"/>
  <c r="H20" i="3"/>
  <c r="I20" i="3"/>
  <c r="J20" i="3"/>
  <c r="K20" i="3"/>
  <c r="L20" i="3"/>
  <c r="M20" i="3"/>
  <c r="N20" i="3"/>
  <c r="E21" i="3"/>
  <c r="F21" i="3"/>
  <c r="G21" i="3"/>
  <c r="H21" i="3"/>
  <c r="I21" i="3"/>
  <c r="J21" i="3"/>
  <c r="K21" i="3"/>
  <c r="L21" i="3"/>
  <c r="M21" i="3"/>
  <c r="N21" i="3"/>
  <c r="E22" i="3"/>
  <c r="F22" i="3"/>
  <c r="G22" i="3"/>
  <c r="H22" i="3"/>
  <c r="I22" i="3"/>
  <c r="J22" i="3"/>
  <c r="K22" i="3"/>
  <c r="L22" i="3"/>
  <c r="M22" i="3"/>
  <c r="N22" i="3"/>
  <c r="D18" i="3"/>
  <c r="D19" i="3"/>
  <c r="D20" i="3"/>
  <c r="D21" i="3"/>
  <c r="D22" i="3"/>
  <c r="D17" i="3"/>
  <c r="D16" i="2"/>
  <c r="F16" i="2" s="1"/>
  <c r="D15" i="2"/>
  <c r="F15" i="2" s="1"/>
  <c r="F17" i="2" s="1"/>
  <c r="D13" i="2"/>
  <c r="F13" i="2" s="1"/>
  <c r="D12" i="2"/>
  <c r="F12" i="2" s="1"/>
  <c r="D21" i="1"/>
  <c r="E10" i="1"/>
  <c r="D8" i="1"/>
  <c r="D7" i="1"/>
  <c r="D15" i="1"/>
  <c r="G13" i="2" l="1"/>
  <c r="G15" i="2"/>
  <c r="G16" i="2"/>
  <c r="F14" i="2"/>
  <c r="F15" i="1"/>
  <c r="F17" i="1" s="1"/>
  <c r="K16" i="1" s="1"/>
  <c r="F21" i="1"/>
  <c r="G14" i="2"/>
  <c r="G17" i="2"/>
  <c r="F28" i="1"/>
  <c r="F34" i="1"/>
  <c r="F23" i="1"/>
  <c r="K22" i="1" s="1"/>
  <c r="D10" i="1"/>
  <c r="D35" i="1" l="1"/>
  <c r="D29" i="1"/>
  <c r="D22" i="1"/>
  <c r="D16" i="1"/>
  <c r="G16" i="1" s="1"/>
  <c r="C27" i="3"/>
  <c r="G28" i="1"/>
  <c r="F30" i="1"/>
  <c r="K29" i="1"/>
  <c r="L29" i="1" s="1"/>
  <c r="K15" i="1"/>
  <c r="K17" i="1" s="1"/>
  <c r="G34" i="1"/>
  <c r="F36" i="1"/>
  <c r="K35" i="1" s="1"/>
  <c r="K21" i="1"/>
  <c r="M22" i="1"/>
  <c r="L22" i="1"/>
  <c r="G7" i="1"/>
  <c r="H7" i="1" s="1"/>
  <c r="G8" i="1"/>
  <c r="H8" i="1" s="1"/>
  <c r="G9" i="1"/>
  <c r="H9" i="1" s="1"/>
  <c r="F27" i="3" l="1"/>
  <c r="H27" i="3"/>
  <c r="E32" i="3" s="1"/>
  <c r="M29" i="1"/>
  <c r="K28" i="1"/>
  <c r="G22" i="1"/>
  <c r="G23" i="1" s="1"/>
  <c r="H21" i="1" s="1"/>
  <c r="I21" i="1" s="1"/>
  <c r="J21" i="1"/>
  <c r="K34" i="1"/>
  <c r="K36" i="1" s="1"/>
  <c r="M35" i="1"/>
  <c r="L35" i="1"/>
  <c r="M21" i="1"/>
  <c r="M23" i="1" s="1"/>
  <c r="K23" i="1"/>
  <c r="L21" i="1"/>
  <c r="L23" i="1" s="1"/>
  <c r="G17" i="1"/>
  <c r="H15" i="1" s="1"/>
  <c r="G10" i="1"/>
  <c r="I7" i="1"/>
  <c r="H10" i="1"/>
  <c r="I9" i="1"/>
  <c r="I8" i="1"/>
  <c r="M35" i="3" l="1"/>
  <c r="E35" i="3"/>
  <c r="D37" i="3"/>
  <c r="N37" i="3"/>
  <c r="M36" i="3"/>
  <c r="D32" i="3"/>
  <c r="M37" i="3"/>
  <c r="L36" i="3"/>
  <c r="G35" i="3"/>
  <c r="F36" i="3"/>
  <c r="H32" i="3"/>
  <c r="I36" i="3"/>
  <c r="D34" i="3"/>
  <c r="G32" i="3"/>
  <c r="G37" i="3"/>
  <c r="J37" i="3"/>
  <c r="E36" i="3"/>
  <c r="N36" i="3"/>
  <c r="I35" i="3"/>
  <c r="I37" i="3"/>
  <c r="M34" i="3"/>
  <c r="L35" i="3"/>
  <c r="G36" i="3"/>
  <c r="F35" i="3"/>
  <c r="J34" i="3"/>
  <c r="D35" i="3"/>
  <c r="K35" i="3"/>
  <c r="E37" i="3"/>
  <c r="I34" i="3"/>
  <c r="K32" i="3"/>
  <c r="F33" i="3"/>
  <c r="H37" i="3"/>
  <c r="J32" i="3"/>
  <c r="E33" i="3"/>
  <c r="L37" i="3"/>
  <c r="D36" i="3"/>
  <c r="D33" i="3"/>
  <c r="I33" i="3"/>
  <c r="N33" i="3"/>
  <c r="I32" i="3"/>
  <c r="H33" i="3"/>
  <c r="M33" i="3"/>
  <c r="L32" i="3"/>
  <c r="K37" i="3"/>
  <c r="F32" i="3"/>
  <c r="G34" i="3"/>
  <c r="L34" i="3"/>
  <c r="G33" i="3"/>
  <c r="F34" i="3"/>
  <c r="K34" i="3"/>
  <c r="J33" i="3"/>
  <c r="N32" i="3"/>
  <c r="K36" i="3"/>
  <c r="J35" i="3"/>
  <c r="E34" i="3"/>
  <c r="N34" i="3"/>
  <c r="H34" i="3"/>
  <c r="M32" i="3"/>
  <c r="L33" i="3"/>
  <c r="H36" i="3"/>
  <c r="K33" i="3"/>
  <c r="F37" i="3"/>
  <c r="J36" i="3"/>
  <c r="N35" i="3"/>
  <c r="H35" i="3"/>
  <c r="L34" i="1"/>
  <c r="L36" i="1" s="1"/>
  <c r="K30" i="1"/>
  <c r="M28" i="1"/>
  <c r="M30" i="1" s="1"/>
  <c r="L28" i="1"/>
  <c r="L30" i="1" s="1"/>
  <c r="G29" i="1"/>
  <c r="G30" i="1" s="1"/>
  <c r="H29" i="1" s="1"/>
  <c r="G35" i="1"/>
  <c r="G36" i="1" s="1"/>
  <c r="H35" i="1" s="1"/>
  <c r="H22" i="1"/>
  <c r="I22" i="1" s="1"/>
  <c r="I23" i="1" s="1"/>
  <c r="M34" i="1"/>
  <c r="M36" i="1" s="1"/>
  <c r="J15" i="1"/>
  <c r="I15" i="1"/>
  <c r="H16" i="1"/>
  <c r="I10" i="1"/>
  <c r="J22" i="1" l="1"/>
  <c r="J23" i="1" s="1"/>
  <c r="H23" i="1"/>
  <c r="H36" i="1"/>
  <c r="J35" i="1"/>
  <c r="J36" i="1" s="1"/>
  <c r="I35" i="1"/>
  <c r="I36" i="1" s="1"/>
  <c r="I29" i="1"/>
  <c r="I30" i="1" s="1"/>
  <c r="H30" i="1"/>
  <c r="J29" i="1"/>
  <c r="J30" i="1" s="1"/>
  <c r="I16" i="1"/>
  <c r="I17" i="1" s="1"/>
  <c r="J16" i="1"/>
  <c r="J17" i="1" s="1"/>
  <c r="H17" i="1"/>
  <c r="L15" i="1" l="1"/>
  <c r="M15" i="1"/>
  <c r="L16" i="1"/>
  <c r="M16" i="1"/>
  <c r="M17" i="1" l="1"/>
  <c r="L17" i="1"/>
</calcChain>
</file>

<file path=xl/sharedStrings.xml><?xml version="1.0" encoding="utf-8"?>
<sst xmlns="http://schemas.openxmlformats.org/spreadsheetml/2006/main" count="226" uniqueCount="83">
  <si>
    <t>HCHO</t>
    <phoneticPr fontId="1"/>
  </si>
  <si>
    <t>NH3</t>
    <phoneticPr fontId="1"/>
  </si>
  <si>
    <t>N2</t>
    <phoneticPr fontId="1"/>
  </si>
  <si>
    <t>O2</t>
    <phoneticPr fontId="1"/>
  </si>
  <si>
    <t>Air</t>
    <phoneticPr fontId="1"/>
  </si>
  <si>
    <t>(CH2)6N4 =C6H12N4</t>
    <phoneticPr fontId="1"/>
  </si>
  <si>
    <t>H2O</t>
    <phoneticPr fontId="1"/>
  </si>
  <si>
    <t>C6H12N4</t>
    <phoneticPr fontId="1"/>
  </si>
  <si>
    <t>Formaldehyde</t>
    <phoneticPr fontId="1"/>
  </si>
  <si>
    <t>Ammonia</t>
    <phoneticPr fontId="1"/>
  </si>
  <si>
    <t>Hexamine</t>
    <phoneticPr fontId="1"/>
  </si>
  <si>
    <t>6HCHO+4NH3-&gt;(CH2)6N4 + 6H2O</t>
    <phoneticPr fontId="1"/>
  </si>
  <si>
    <t>[g/mol]</t>
    <phoneticPr fontId="1"/>
  </si>
  <si>
    <t>mass</t>
    <phoneticPr fontId="1"/>
  </si>
  <si>
    <t>volume</t>
    <phoneticPr fontId="1"/>
  </si>
  <si>
    <t>[litter/mol]</t>
    <phoneticPr fontId="1"/>
  </si>
  <si>
    <t>[g]</t>
    <phoneticPr fontId="1"/>
  </si>
  <si>
    <t>[litter]</t>
    <phoneticPr fontId="1"/>
  </si>
  <si>
    <t>[%}</t>
    <phoneticPr fontId="1"/>
  </si>
  <si>
    <t>Nitrogen</t>
    <phoneticPr fontId="1"/>
  </si>
  <si>
    <t>Oxygen</t>
    <phoneticPr fontId="1"/>
  </si>
  <si>
    <t>N2,O2,..</t>
    <phoneticPr fontId="1"/>
  </si>
  <si>
    <t>Water</t>
    <phoneticPr fontId="1"/>
  </si>
  <si>
    <t>[ppm]</t>
    <phoneticPr fontId="1"/>
  </si>
  <si>
    <t>[-}</t>
    <phoneticPr fontId="1"/>
  </si>
  <si>
    <t>[%]</t>
    <phoneticPr fontId="1"/>
  </si>
  <si>
    <t>Argon</t>
    <phoneticPr fontId="1"/>
  </si>
  <si>
    <t>Ar</t>
    <phoneticPr fontId="1"/>
  </si>
  <si>
    <t>Volume</t>
    <phoneticPr fontId="1"/>
  </si>
  <si>
    <t>ratio-vol</t>
    <phoneticPr fontId="1"/>
  </si>
  <si>
    <t>ratio-mass</t>
    <phoneticPr fontId="1"/>
  </si>
  <si>
    <t>Sum</t>
    <phoneticPr fontId="1"/>
  </si>
  <si>
    <t>Formaldehyde gas concentration</t>
    <phoneticPr fontId="1"/>
  </si>
  <si>
    <t>Neutralization by Ammonia</t>
    <phoneticPr fontId="1"/>
  </si>
  <si>
    <t>amount</t>
    <phoneticPr fontId="1"/>
  </si>
  <si>
    <t>[mol]</t>
    <phoneticPr fontId="1"/>
  </si>
  <si>
    <t>Temperature</t>
    <phoneticPr fontId="1"/>
  </si>
  <si>
    <t>[degC]</t>
    <phoneticPr fontId="1"/>
  </si>
  <si>
    <t>Absolute humidity by Temperature and Relative humidty</t>
    <phoneticPr fontId="1"/>
  </si>
  <si>
    <t>Rel.Humidity</t>
    <phoneticPr fontId="1"/>
  </si>
  <si>
    <t>Ab.Humidity</t>
    <phoneticPr fontId="1"/>
  </si>
  <si>
    <t>[g/kg']</t>
    <phoneticPr fontId="1"/>
  </si>
  <si>
    <t>[g/m3']</t>
    <phoneticPr fontId="1"/>
  </si>
  <si>
    <t>Hexamethylenetetramine or  Hexamine</t>
    <phoneticPr fontId="1"/>
  </si>
  <si>
    <t>Note</t>
    <phoneticPr fontId="1"/>
  </si>
  <si>
    <t>Absolute Humidity was calculated by 'ix_20200831_E.xlsm (http://s-mech.com/tool/ix/ix_20200831_E.xlsm)'.</t>
    <phoneticPr fontId="1"/>
  </si>
  <si>
    <t>ratio-mass based</t>
    <phoneticPr fontId="1"/>
  </si>
  <si>
    <t>Air characteristic</t>
    <phoneticPr fontId="1"/>
  </si>
  <si>
    <t>Neutralization chemical fomula by Formaldehyde and Ammonia</t>
    <phoneticPr fontId="1"/>
  </si>
  <si>
    <t>Ammonia mass by Formaldehyde mass</t>
    <phoneticPr fontId="1"/>
  </si>
  <si>
    <t>Absolute humidity by Temperature and Relative humidity</t>
    <phoneticPr fontId="1"/>
  </si>
  <si>
    <t>[kg/kg']</t>
  </si>
  <si>
    <t>Air mass and volume</t>
    <phoneticPr fontId="1"/>
  </si>
  <si>
    <t>Absolute humidity by Temperature and Relative humidity (base on Air volume)</t>
    <phoneticPr fontId="1"/>
  </si>
  <si>
    <t>Evaporating time</t>
    <phoneticPr fontId="1"/>
  </si>
  <si>
    <t>Water temperature</t>
    <phoneticPr fontId="1"/>
  </si>
  <si>
    <t>Water boiling temperature</t>
    <phoneticPr fontId="1"/>
  </si>
  <si>
    <t>Water temperature difference</t>
    <phoneticPr fontId="1"/>
  </si>
  <si>
    <t>[kcal/kg]</t>
    <phoneticPr fontId="1"/>
  </si>
  <si>
    <t>Water evaporation Latent heat at boiling temparature</t>
    <phoneticPr fontId="1"/>
  </si>
  <si>
    <t>Heat requirment</t>
    <phoneticPr fontId="1"/>
  </si>
  <si>
    <t>[kcal]</t>
    <phoneticPr fontId="1"/>
  </si>
  <si>
    <t>Water volume</t>
    <phoneticPr fontId="1"/>
  </si>
  <si>
    <t>[kg]</t>
    <phoneticPr fontId="1"/>
  </si>
  <si>
    <t>Heat unit conversion</t>
    <phoneticPr fontId="1"/>
  </si>
  <si>
    <t>[kcal/kwh]</t>
    <phoneticPr fontId="1"/>
  </si>
  <si>
    <t>Heater power</t>
    <phoneticPr fontId="1"/>
  </si>
  <si>
    <t>[kw]</t>
    <phoneticPr fontId="1"/>
  </si>
  <si>
    <t>[hr]</t>
    <phoneticPr fontId="1"/>
  </si>
  <si>
    <t>[min]</t>
    <phoneticPr fontId="1"/>
  </si>
  <si>
    <t>Evaporating time by Water volume and Heater power</t>
    <phoneticPr fontId="1"/>
  </si>
  <si>
    <t>Heat requirment per water waight</t>
    <phoneticPr fontId="1"/>
  </si>
  <si>
    <t>Formaldehyde gas concentration by Formaldehyde mass and Air volume</t>
    <phoneticPr fontId="1"/>
  </si>
  <si>
    <t>Formaldehyde mass by Formaldehyde gas concentration and Air volume</t>
    <phoneticPr fontId="1"/>
  </si>
  <si>
    <t>Formaldehyde concentration</t>
    <phoneticPr fontId="1"/>
  </si>
  <si>
    <t>Formalin weight</t>
    <phoneticPr fontId="1"/>
  </si>
  <si>
    <t>Water concentration</t>
    <phoneticPr fontId="1"/>
  </si>
  <si>
    <t xml:space="preserve">Formaldehyde requirment weight </t>
    <phoneticPr fontId="1"/>
  </si>
  <si>
    <t>Formalin requirment weight</t>
    <phoneticPr fontId="1"/>
  </si>
  <si>
    <t>Formalin weight by Formaldehyde</t>
    <phoneticPr fontId="1"/>
  </si>
  <si>
    <t xml:space="preserve">Note: Yellow color cell requirs value. Blue color cell gives value automaticaly. </t>
    <phoneticPr fontId="1"/>
  </si>
  <si>
    <t>Formalin ratio-mass</t>
    <phoneticPr fontId="1"/>
  </si>
  <si>
    <t>[-]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</si>
</sst>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0_ "/>
    <numFmt numFmtId="185" formatCode="0.0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vertical="center" wrapText="1"/>
    </xf>
    <xf numFmtId="184" fontId="2" fillId="2" borderId="0" xfId="0" applyNumberFormat="1" applyFont="1" applyFill="1">
      <alignment vertical="center"/>
    </xf>
    <xf numFmtId="185" fontId="2" fillId="2" borderId="0" xfId="0" applyNumberFormat="1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2" fillId="3" borderId="0" xfId="0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D732-95F3-45C5-A09A-ED0C103B58F7}">
  <dimension ref="A1:M36"/>
  <sheetViews>
    <sheetView topLeftCell="A7" workbookViewId="0">
      <selection activeCell="H19" sqref="H19"/>
    </sheetView>
  </sheetViews>
  <sheetFormatPr defaultRowHeight="14.25" x14ac:dyDescent="0.4"/>
  <cols>
    <col min="1" max="1" width="5.625" style="1" customWidth="1"/>
    <col min="2" max="14" width="10.625" style="1" customWidth="1"/>
    <col min="15" max="16384" width="9" style="1"/>
  </cols>
  <sheetData>
    <row r="1" spans="1:13" x14ac:dyDescent="0.4">
      <c r="A1" s="12" t="s">
        <v>32</v>
      </c>
    </row>
    <row r="2" spans="1:13" x14ac:dyDescent="0.4">
      <c r="A2" s="1" t="s">
        <v>80</v>
      </c>
    </row>
    <row r="4" spans="1:13" x14ac:dyDescent="0.4">
      <c r="B4" s="12" t="s">
        <v>47</v>
      </c>
    </row>
    <row r="5" spans="1:13" s="2" customFormat="1" x14ac:dyDescent="0.4">
      <c r="D5" s="2" t="s">
        <v>13</v>
      </c>
      <c r="E5" s="2" t="s">
        <v>29</v>
      </c>
      <c r="F5" s="2" t="s">
        <v>14</v>
      </c>
      <c r="G5" s="2" t="s">
        <v>30</v>
      </c>
      <c r="H5" s="2" t="s">
        <v>30</v>
      </c>
      <c r="I5" s="2" t="s">
        <v>30</v>
      </c>
    </row>
    <row r="6" spans="1:13" s="2" customFormat="1" x14ac:dyDescent="0.4">
      <c r="D6" s="2" t="s">
        <v>12</v>
      </c>
      <c r="E6" s="2" t="s">
        <v>25</v>
      </c>
      <c r="F6" s="2" t="s">
        <v>15</v>
      </c>
      <c r="G6" s="2" t="s">
        <v>24</v>
      </c>
      <c r="H6" s="2" t="s">
        <v>18</v>
      </c>
      <c r="I6" s="2" t="s">
        <v>23</v>
      </c>
    </row>
    <row r="7" spans="1:13" s="2" customFormat="1" x14ac:dyDescent="0.4">
      <c r="B7" s="2" t="s">
        <v>19</v>
      </c>
      <c r="C7" s="2" t="s">
        <v>2</v>
      </c>
      <c r="D7" s="2">
        <f>14*2</f>
        <v>28</v>
      </c>
      <c r="E7" s="17">
        <v>78</v>
      </c>
      <c r="G7" s="3">
        <f>D7*E7/(D$10*E$10)</f>
        <v>0.75414364640883991</v>
      </c>
      <c r="H7" s="3">
        <f>ROUND(G7*100,1)</f>
        <v>75.400000000000006</v>
      </c>
      <c r="I7" s="3">
        <f>ROUND(G7*1000000,0)</f>
        <v>754144</v>
      </c>
    </row>
    <row r="8" spans="1:13" s="2" customFormat="1" x14ac:dyDescent="0.4">
      <c r="B8" s="2" t="s">
        <v>20</v>
      </c>
      <c r="C8" s="2" t="s">
        <v>3</v>
      </c>
      <c r="D8" s="2">
        <f>16*2</f>
        <v>32</v>
      </c>
      <c r="E8" s="17">
        <v>21</v>
      </c>
      <c r="G8" s="3">
        <f>D8*E8/(D$10*E$10)</f>
        <v>0.23204419889502767</v>
      </c>
      <c r="H8" s="3">
        <f>ROUND(G8*100,1)</f>
        <v>23.2</v>
      </c>
      <c r="I8" s="3">
        <f>ROUND(G8*1000000,0)</f>
        <v>232044</v>
      </c>
    </row>
    <row r="9" spans="1:13" s="2" customFormat="1" x14ac:dyDescent="0.4">
      <c r="B9" s="2" t="s">
        <v>26</v>
      </c>
      <c r="C9" s="2" t="s">
        <v>27</v>
      </c>
      <c r="D9" s="2">
        <v>40</v>
      </c>
      <c r="E9" s="17">
        <v>1</v>
      </c>
      <c r="G9" s="3">
        <f>D9*E9/(D$10*E$10)</f>
        <v>1.38121546961326E-2</v>
      </c>
      <c r="H9" s="3">
        <f>ROUND(G9*100,1)</f>
        <v>1.4</v>
      </c>
      <c r="I9" s="3">
        <f>ROUND(G9*1000000,0)</f>
        <v>13812</v>
      </c>
    </row>
    <row r="10" spans="1:13" s="2" customFormat="1" x14ac:dyDescent="0.4">
      <c r="B10" s="2" t="s">
        <v>4</v>
      </c>
      <c r="C10" s="2" t="s">
        <v>21</v>
      </c>
      <c r="D10" s="3">
        <f>D7*(E7/100)+D8*(E8/100)+D9*(E9/100)</f>
        <v>28.959999999999997</v>
      </c>
      <c r="E10" s="3">
        <f>SUM(E7:E9)</f>
        <v>100</v>
      </c>
      <c r="F10" s="17">
        <v>22.4</v>
      </c>
      <c r="G10" s="3">
        <f>SUM(G7:G9)</f>
        <v>1.0000000000000002</v>
      </c>
      <c r="H10" s="3">
        <f>SUM(H7:H9)</f>
        <v>100.00000000000001</v>
      </c>
      <c r="I10" s="3">
        <f>SUM(I7:I9)</f>
        <v>1000000</v>
      </c>
    </row>
    <row r="12" spans="1:13" x14ac:dyDescent="0.4">
      <c r="B12" s="12" t="s">
        <v>72</v>
      </c>
    </row>
    <row r="13" spans="1:13" s="2" customFormat="1" x14ac:dyDescent="0.4">
      <c r="D13" s="2" t="s">
        <v>13</v>
      </c>
      <c r="E13" s="2" t="s">
        <v>14</v>
      </c>
      <c r="F13" s="2" t="s">
        <v>28</v>
      </c>
      <c r="G13" s="2" t="s">
        <v>13</v>
      </c>
      <c r="H13" s="2" t="s">
        <v>30</v>
      </c>
      <c r="I13" s="2" t="s">
        <v>30</v>
      </c>
      <c r="J13" s="2" t="s">
        <v>30</v>
      </c>
      <c r="K13" s="2" t="s">
        <v>29</v>
      </c>
      <c r="L13" s="2" t="s">
        <v>29</v>
      </c>
      <c r="M13" s="2" t="s">
        <v>29</v>
      </c>
    </row>
    <row r="14" spans="1:13" s="2" customFormat="1" x14ac:dyDescent="0.4">
      <c r="D14" s="2" t="s">
        <v>12</v>
      </c>
      <c r="E14" s="2" t="s">
        <v>15</v>
      </c>
      <c r="F14" s="2" t="s">
        <v>17</v>
      </c>
      <c r="G14" s="2" t="s">
        <v>16</v>
      </c>
      <c r="H14" s="2" t="s">
        <v>24</v>
      </c>
      <c r="I14" s="2" t="s">
        <v>18</v>
      </c>
      <c r="J14" s="2" t="s">
        <v>23</v>
      </c>
      <c r="K14" s="2" t="s">
        <v>24</v>
      </c>
      <c r="L14" s="2" t="s">
        <v>18</v>
      </c>
      <c r="M14" s="2" t="s">
        <v>23</v>
      </c>
    </row>
    <row r="15" spans="1:13" s="2" customFormat="1" x14ac:dyDescent="0.4">
      <c r="B15" s="2" t="s">
        <v>8</v>
      </c>
      <c r="C15" s="2" t="s">
        <v>0</v>
      </c>
      <c r="D15" s="17">
        <f>1+12+1+16</f>
        <v>30</v>
      </c>
      <c r="E15" s="3">
        <f>F$10</f>
        <v>22.4</v>
      </c>
      <c r="F15" s="3">
        <f>E15*(G15/D15)</f>
        <v>7.4666666666666659</v>
      </c>
      <c r="G15" s="27">
        <v>10</v>
      </c>
      <c r="H15" s="3">
        <f>G15/G17</f>
        <v>7.6754385964912276E-3</v>
      </c>
      <c r="I15" s="3">
        <f>H15*100</f>
        <v>0.76754385964912275</v>
      </c>
      <c r="J15" s="3">
        <f>H15*1000000</f>
        <v>7675.4385964912281</v>
      </c>
      <c r="K15" s="3">
        <f>F15/F17</f>
        <v>7.4113287453679184E-3</v>
      </c>
      <c r="L15" s="3">
        <f>K15*100</f>
        <v>0.74113287453679189</v>
      </c>
      <c r="M15" s="3">
        <f>K15*1000000</f>
        <v>7411.3287453679186</v>
      </c>
    </row>
    <row r="16" spans="1:13" s="2" customFormat="1" x14ac:dyDescent="0.4">
      <c r="B16" s="2" t="s">
        <v>4</v>
      </c>
      <c r="C16" s="2" t="s">
        <v>21</v>
      </c>
      <c r="D16" s="3">
        <f>D$10</f>
        <v>28.959999999999997</v>
      </c>
      <c r="E16" s="3">
        <f>F$10</f>
        <v>22.4</v>
      </c>
      <c r="F16" s="27">
        <v>1000</v>
      </c>
      <c r="G16" s="3">
        <f>D16*(F16/E16)</f>
        <v>1292.8571428571429</v>
      </c>
      <c r="H16" s="3">
        <f>G16/G17</f>
        <v>0.99232456140350878</v>
      </c>
      <c r="I16" s="3">
        <f>H16*100</f>
        <v>99.232456140350877</v>
      </c>
      <c r="J16" s="3">
        <f>H16*1000000</f>
        <v>992324.56140350876</v>
      </c>
      <c r="K16" s="3">
        <f>F16/F17</f>
        <v>0.99258867125463202</v>
      </c>
      <c r="L16" s="3">
        <f>K16*100</f>
        <v>99.258867125463198</v>
      </c>
      <c r="M16" s="3">
        <f>K16*1000000</f>
        <v>992588.67125463206</v>
      </c>
    </row>
    <row r="17" spans="2:13" s="2" customFormat="1" x14ac:dyDescent="0.4">
      <c r="B17" s="1" t="s">
        <v>31</v>
      </c>
      <c r="C17" s="1"/>
      <c r="D17" s="1"/>
      <c r="F17" s="3">
        <f t="shared" ref="F17:M17" si="0">SUM(F15:F16)</f>
        <v>1007.4666666666667</v>
      </c>
      <c r="G17" s="3">
        <f t="shared" si="0"/>
        <v>1302.8571428571429</v>
      </c>
      <c r="H17" s="3">
        <f t="shared" si="0"/>
        <v>1</v>
      </c>
      <c r="I17" s="3">
        <f t="shared" si="0"/>
        <v>100</v>
      </c>
      <c r="J17" s="3">
        <f t="shared" si="0"/>
        <v>1000000</v>
      </c>
      <c r="K17" s="3">
        <f t="shared" si="0"/>
        <v>0.99999999999999989</v>
      </c>
      <c r="L17" s="3">
        <f t="shared" si="0"/>
        <v>99.999999999999986</v>
      </c>
      <c r="M17" s="3">
        <f t="shared" si="0"/>
        <v>1000000</v>
      </c>
    </row>
    <row r="19" spans="2:13" s="2" customFormat="1" x14ac:dyDescent="0.4">
      <c r="D19" s="2" t="s">
        <v>13</v>
      </c>
      <c r="E19" s="2" t="s">
        <v>14</v>
      </c>
      <c r="F19" s="2" t="s">
        <v>28</v>
      </c>
      <c r="G19" s="2" t="s">
        <v>13</v>
      </c>
      <c r="H19" s="2" t="s">
        <v>30</v>
      </c>
      <c r="I19" s="2" t="s">
        <v>30</v>
      </c>
      <c r="J19" s="2" t="s">
        <v>30</v>
      </c>
      <c r="K19" s="2" t="s">
        <v>29</v>
      </c>
      <c r="L19" s="2" t="s">
        <v>29</v>
      </c>
      <c r="M19" s="2" t="s">
        <v>29</v>
      </c>
    </row>
    <row r="20" spans="2:13" s="2" customFormat="1" x14ac:dyDescent="0.4">
      <c r="D20" s="2" t="s">
        <v>12</v>
      </c>
      <c r="E20" s="2" t="s">
        <v>15</v>
      </c>
      <c r="F20" s="2" t="s">
        <v>17</v>
      </c>
      <c r="G20" s="2" t="s">
        <v>16</v>
      </c>
      <c r="H20" s="2" t="s">
        <v>24</v>
      </c>
      <c r="I20" s="2" t="s">
        <v>18</v>
      </c>
      <c r="J20" s="2" t="s">
        <v>23</v>
      </c>
      <c r="K20" s="2" t="s">
        <v>24</v>
      </c>
      <c r="L20" s="2" t="s">
        <v>18</v>
      </c>
      <c r="M20" s="2" t="s">
        <v>23</v>
      </c>
    </row>
    <row r="21" spans="2:13" s="2" customFormat="1" x14ac:dyDescent="0.4">
      <c r="B21" s="2" t="s">
        <v>8</v>
      </c>
      <c r="C21" s="2" t="s">
        <v>0</v>
      </c>
      <c r="D21" s="17">
        <f>1+12+1+16</f>
        <v>30</v>
      </c>
      <c r="E21" s="3">
        <f t="shared" ref="E21:E22" si="1">F$10</f>
        <v>22.4</v>
      </c>
      <c r="F21" s="3">
        <f>E21*(G21/D21)</f>
        <v>0.74666666666666659</v>
      </c>
      <c r="G21" s="27">
        <v>1</v>
      </c>
      <c r="H21" s="3">
        <f>G21/G23</f>
        <v>7.7288285304184605E-4</v>
      </c>
      <c r="I21" s="3">
        <f>H21*100</f>
        <v>7.7288285304184606E-2</v>
      </c>
      <c r="J21" s="3">
        <f>H21*1000000</f>
        <v>772.88285304184603</v>
      </c>
      <c r="K21" s="3">
        <f>F21/F23</f>
        <v>7.4610957151993176E-4</v>
      </c>
      <c r="L21" s="3">
        <f>K21*100</f>
        <v>7.4610957151993174E-2</v>
      </c>
      <c r="M21" s="3">
        <f>K21*1000000</f>
        <v>746.10957151993171</v>
      </c>
    </row>
    <row r="22" spans="2:13" s="2" customFormat="1" x14ac:dyDescent="0.4">
      <c r="B22" s="2" t="s">
        <v>4</v>
      </c>
      <c r="C22" s="2" t="s">
        <v>21</v>
      </c>
      <c r="D22" s="3">
        <f>D$10</f>
        <v>28.959999999999997</v>
      </c>
      <c r="E22" s="3">
        <f t="shared" si="1"/>
        <v>22.4</v>
      </c>
      <c r="F22" s="27">
        <v>1000</v>
      </c>
      <c r="G22" s="3">
        <f>D22*(F22/E22)</f>
        <v>1292.8571428571429</v>
      </c>
      <c r="H22" s="3">
        <f>G22/G23</f>
        <v>0.99922711714695811</v>
      </c>
      <c r="I22" s="3">
        <f>H22*100</f>
        <v>99.922711714695808</v>
      </c>
      <c r="J22" s="3">
        <f>H22*1000000</f>
        <v>999227.11714695813</v>
      </c>
      <c r="K22" s="3">
        <f>F22/F23</f>
        <v>0.99925389042848012</v>
      </c>
      <c r="L22" s="3">
        <f>K22*100</f>
        <v>99.92538904284801</v>
      </c>
      <c r="M22" s="3">
        <f>K22*1000000</f>
        <v>999253.89042848011</v>
      </c>
    </row>
    <row r="23" spans="2:13" s="2" customFormat="1" x14ac:dyDescent="0.4">
      <c r="B23" s="1" t="s">
        <v>31</v>
      </c>
      <c r="C23" s="1"/>
      <c r="D23" s="1"/>
      <c r="F23" s="3">
        <f t="shared" ref="F23:M23" si="2">SUM(F21:F22)</f>
        <v>1000.7466666666667</v>
      </c>
      <c r="G23" s="3">
        <f t="shared" si="2"/>
        <v>1293.8571428571429</v>
      </c>
      <c r="H23" s="3">
        <f t="shared" si="2"/>
        <v>1</v>
      </c>
      <c r="I23" s="3">
        <f t="shared" si="2"/>
        <v>99.999999999999986</v>
      </c>
      <c r="J23" s="3">
        <f t="shared" si="2"/>
        <v>1000000</v>
      </c>
      <c r="K23" s="3">
        <f t="shared" si="2"/>
        <v>1</v>
      </c>
      <c r="L23" s="3">
        <f t="shared" si="2"/>
        <v>100</v>
      </c>
      <c r="M23" s="3">
        <f t="shared" si="2"/>
        <v>1000000</v>
      </c>
    </row>
    <row r="25" spans="2:13" x14ac:dyDescent="0.4">
      <c r="B25" s="12" t="s">
        <v>73</v>
      </c>
    </row>
    <row r="26" spans="2:13" s="2" customFormat="1" x14ac:dyDescent="0.4">
      <c r="D26" s="2" t="s">
        <v>13</v>
      </c>
      <c r="E26" s="2" t="s">
        <v>14</v>
      </c>
      <c r="F26" s="2" t="s">
        <v>28</v>
      </c>
      <c r="G26" s="2" t="s">
        <v>13</v>
      </c>
      <c r="H26" s="2" t="s">
        <v>30</v>
      </c>
      <c r="I26" s="2" t="s">
        <v>30</v>
      </c>
      <c r="J26" s="2" t="s">
        <v>30</v>
      </c>
      <c r="K26" s="2" t="s">
        <v>29</v>
      </c>
      <c r="L26" s="2" t="s">
        <v>29</v>
      </c>
      <c r="M26" s="2" t="s">
        <v>29</v>
      </c>
    </row>
    <row r="27" spans="2:13" s="2" customFormat="1" x14ac:dyDescent="0.4">
      <c r="D27" s="2" t="s">
        <v>12</v>
      </c>
      <c r="E27" s="2" t="s">
        <v>15</v>
      </c>
      <c r="F27" s="2" t="s">
        <v>17</v>
      </c>
      <c r="G27" s="2" t="s">
        <v>16</v>
      </c>
      <c r="H27" s="2" t="s">
        <v>24</v>
      </c>
      <c r="I27" s="2" t="s">
        <v>18</v>
      </c>
      <c r="J27" s="2" t="s">
        <v>23</v>
      </c>
      <c r="K27" s="2" t="s">
        <v>24</v>
      </c>
      <c r="L27" s="2" t="s">
        <v>18</v>
      </c>
      <c r="M27" s="2" t="s">
        <v>23</v>
      </c>
    </row>
    <row r="28" spans="2:13" s="2" customFormat="1" x14ac:dyDescent="0.4">
      <c r="B28" s="2" t="s">
        <v>8</v>
      </c>
      <c r="C28" s="2" t="s">
        <v>0</v>
      </c>
      <c r="D28" s="17">
        <f>1+12+1+16</f>
        <v>30</v>
      </c>
      <c r="E28" s="3">
        <f t="shared" ref="E28:E29" si="3">F$10</f>
        <v>22.4</v>
      </c>
      <c r="F28" s="3">
        <f>F29*H28/(1-H28)</f>
        <v>119.60732512758932</v>
      </c>
      <c r="G28" s="3">
        <f>F28/E28*D28</f>
        <v>160.18838186730713</v>
      </c>
      <c r="H28" s="3">
        <f>J28/1000000</f>
        <v>6.9999999999999999E-4</v>
      </c>
      <c r="I28" s="3">
        <f>J28/10000</f>
        <v>7.0000000000000007E-2</v>
      </c>
      <c r="J28" s="27">
        <v>700</v>
      </c>
      <c r="K28" s="3">
        <f>F28/F30</f>
        <v>7.000000000000001E-4</v>
      </c>
      <c r="L28" s="3">
        <f>K28*100</f>
        <v>7.0000000000000007E-2</v>
      </c>
      <c r="M28" s="3">
        <f>K28*1000000</f>
        <v>700.00000000000011</v>
      </c>
    </row>
    <row r="29" spans="2:13" s="2" customFormat="1" x14ac:dyDescent="0.4">
      <c r="B29" s="2" t="s">
        <v>4</v>
      </c>
      <c r="C29" s="2" t="s">
        <v>21</v>
      </c>
      <c r="D29" s="3">
        <f>D$10</f>
        <v>28.959999999999997</v>
      </c>
      <c r="E29" s="3">
        <f t="shared" si="3"/>
        <v>22.4</v>
      </c>
      <c r="F29" s="27">
        <f>1000*(8.25*6.4+3.6*2.9)*2.7</f>
        <v>170748</v>
      </c>
      <c r="G29" s="3">
        <f>D29*(F29/E29)</f>
        <v>220752.7714285714</v>
      </c>
      <c r="H29" s="3">
        <f>G29/G30</f>
        <v>0.99927488010660503</v>
      </c>
      <c r="I29" s="3">
        <f>H29*100</f>
        <v>99.927488010660497</v>
      </c>
      <c r="J29" s="3">
        <f>H29*1000000</f>
        <v>999274.88010660501</v>
      </c>
      <c r="K29" s="3">
        <f>F29/F30</f>
        <v>0.99930000000000008</v>
      </c>
      <c r="L29" s="3">
        <f>K29*100</f>
        <v>99.93</v>
      </c>
      <c r="M29" s="3">
        <f>K29*1000000</f>
        <v>999300.00000000012</v>
      </c>
    </row>
    <row r="30" spans="2:13" s="2" customFormat="1" x14ac:dyDescent="0.4">
      <c r="B30" s="1" t="s">
        <v>31</v>
      </c>
      <c r="C30" s="1"/>
      <c r="D30" s="1"/>
      <c r="F30" s="3">
        <f>SUM(F28:F29)</f>
        <v>170867.60732512758</v>
      </c>
      <c r="G30" s="3">
        <f t="shared" ref="G30:M30" si="4">SUM(G28:G29)</f>
        <v>220912.95981043871</v>
      </c>
      <c r="H30" s="3">
        <f t="shared" si="4"/>
        <v>0.99997488010660507</v>
      </c>
      <c r="I30" s="3">
        <f t="shared" si="4"/>
        <v>99.99748801066049</v>
      </c>
      <c r="J30" s="3">
        <f t="shared" si="4"/>
        <v>999974.88010660501</v>
      </c>
      <c r="K30" s="3">
        <f t="shared" si="4"/>
        <v>1</v>
      </c>
      <c r="L30" s="3">
        <f t="shared" si="4"/>
        <v>100</v>
      </c>
      <c r="M30" s="3">
        <f t="shared" si="4"/>
        <v>1000000.0000000001</v>
      </c>
    </row>
    <row r="32" spans="2:13" s="2" customFormat="1" x14ac:dyDescent="0.4">
      <c r="B32" s="2" t="s">
        <v>46</v>
      </c>
      <c r="D32" s="2" t="s">
        <v>13</v>
      </c>
      <c r="E32" s="2" t="s">
        <v>14</v>
      </c>
      <c r="F32" s="2" t="s">
        <v>28</v>
      </c>
      <c r="G32" s="2" t="s">
        <v>13</v>
      </c>
      <c r="H32" s="2" t="s">
        <v>30</v>
      </c>
      <c r="I32" s="2" t="s">
        <v>30</v>
      </c>
      <c r="J32" s="2" t="s">
        <v>30</v>
      </c>
      <c r="K32" s="2" t="s">
        <v>29</v>
      </c>
      <c r="L32" s="2" t="s">
        <v>29</v>
      </c>
      <c r="M32" s="2" t="s">
        <v>29</v>
      </c>
    </row>
    <row r="33" spans="2:13" s="2" customFormat="1" x14ac:dyDescent="0.4">
      <c r="D33" s="2" t="s">
        <v>12</v>
      </c>
      <c r="E33" s="2" t="s">
        <v>15</v>
      </c>
      <c r="F33" s="2" t="s">
        <v>17</v>
      </c>
      <c r="G33" s="2" t="s">
        <v>16</v>
      </c>
      <c r="H33" s="2" t="s">
        <v>24</v>
      </c>
      <c r="I33" s="2" t="s">
        <v>18</v>
      </c>
      <c r="J33" s="2" t="s">
        <v>23</v>
      </c>
      <c r="K33" s="2" t="s">
        <v>24</v>
      </c>
      <c r="L33" s="2" t="s">
        <v>18</v>
      </c>
      <c r="M33" s="2" t="s">
        <v>23</v>
      </c>
    </row>
    <row r="34" spans="2:13" s="2" customFormat="1" x14ac:dyDescent="0.4">
      <c r="B34" s="2" t="s">
        <v>8</v>
      </c>
      <c r="C34" s="2" t="s">
        <v>0</v>
      </c>
      <c r="D34" s="17">
        <f>1+12+1+16</f>
        <v>30</v>
      </c>
      <c r="E34" s="3">
        <f t="shared" ref="E34:E35" si="5">F$10</f>
        <v>22.4</v>
      </c>
      <c r="F34" s="3">
        <f>F35*H34/(1-H34)</f>
        <v>170.91891891891891</v>
      </c>
      <c r="G34" s="3">
        <f>F34/E34*D34</f>
        <v>228.90926640926642</v>
      </c>
      <c r="H34" s="3">
        <f>J34/1000000</f>
        <v>1E-3</v>
      </c>
      <c r="I34" s="3">
        <f>J34/10000</f>
        <v>0.1</v>
      </c>
      <c r="J34" s="27">
        <v>1000</v>
      </c>
      <c r="K34" s="3">
        <f>F34/F36</f>
        <v>1E-3</v>
      </c>
      <c r="L34" s="3">
        <f>K34*100</f>
        <v>0.1</v>
      </c>
      <c r="M34" s="3">
        <f>K34*1000000</f>
        <v>1000</v>
      </c>
    </row>
    <row r="35" spans="2:13" s="2" customFormat="1" x14ac:dyDescent="0.4">
      <c r="B35" s="2" t="s">
        <v>4</v>
      </c>
      <c r="C35" s="2" t="s">
        <v>21</v>
      </c>
      <c r="D35" s="3">
        <f>D$10</f>
        <v>28.959999999999997</v>
      </c>
      <c r="E35" s="3">
        <f t="shared" si="5"/>
        <v>22.4</v>
      </c>
      <c r="F35" s="27">
        <f>1000*(8.25*6.4+3.6*2.9)*2.7</f>
        <v>170748</v>
      </c>
      <c r="G35" s="3">
        <f>D35*(F35/E35)</f>
        <v>220752.7714285714</v>
      </c>
      <c r="H35" s="3">
        <f>G35/G36</f>
        <v>0.99896412559769954</v>
      </c>
      <c r="I35" s="3">
        <f>H35*100</f>
        <v>99.896412559769956</v>
      </c>
      <c r="J35" s="3">
        <f>H35*1000000</f>
        <v>998964.12559769955</v>
      </c>
      <c r="K35" s="3">
        <f>F35/F36</f>
        <v>0.99900000000000011</v>
      </c>
      <c r="L35" s="3">
        <f>K35*100</f>
        <v>99.9</v>
      </c>
      <c r="M35" s="3">
        <f>K35*1000000</f>
        <v>999000.00000000012</v>
      </c>
    </row>
    <row r="36" spans="2:13" s="2" customFormat="1" x14ac:dyDescent="0.4">
      <c r="B36" s="1" t="s">
        <v>31</v>
      </c>
      <c r="C36" s="1"/>
      <c r="D36" s="1"/>
      <c r="F36" s="3">
        <f t="shared" ref="F36:M36" si="6">SUM(F34:F35)</f>
        <v>170918.91891891891</v>
      </c>
      <c r="G36" s="3">
        <f t="shared" si="6"/>
        <v>220981.68069498066</v>
      </c>
      <c r="H36" s="3">
        <f t="shared" si="6"/>
        <v>0.99996412559769954</v>
      </c>
      <c r="I36" s="3">
        <f t="shared" si="6"/>
        <v>99.996412559769951</v>
      </c>
      <c r="J36" s="3">
        <f t="shared" si="6"/>
        <v>999964.12559769955</v>
      </c>
      <c r="K36" s="3">
        <f t="shared" si="6"/>
        <v>1</v>
      </c>
      <c r="L36" s="3">
        <f t="shared" si="6"/>
        <v>100</v>
      </c>
      <c r="M36" s="3">
        <f t="shared" si="6"/>
        <v>1000000.0000000001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66509-CD44-4CCA-AD63-20D8597ABD26}">
  <dimension ref="A1:G17"/>
  <sheetViews>
    <sheetView topLeftCell="A7" workbookViewId="0">
      <selection activeCell="E24" sqref="E24"/>
    </sheetView>
  </sheetViews>
  <sheetFormatPr defaultRowHeight="14.25" x14ac:dyDescent="0.4"/>
  <cols>
    <col min="1" max="1" width="5.625" style="1" customWidth="1"/>
    <col min="2" max="13" width="10.625" style="1" customWidth="1"/>
    <col min="14" max="16384" width="9" style="1"/>
  </cols>
  <sheetData>
    <row r="1" spans="1:7" x14ac:dyDescent="0.4">
      <c r="A1" s="12" t="s">
        <v>33</v>
      </c>
    </row>
    <row r="2" spans="1:7" x14ac:dyDescent="0.4">
      <c r="A2" s="1" t="s">
        <v>80</v>
      </c>
    </row>
    <row r="4" spans="1:7" x14ac:dyDescent="0.4">
      <c r="B4" s="12" t="s">
        <v>48</v>
      </c>
    </row>
    <row r="5" spans="1:7" x14ac:dyDescent="0.4">
      <c r="B5" s="1" t="s">
        <v>11</v>
      </c>
    </row>
    <row r="6" spans="1:7" x14ac:dyDescent="0.4">
      <c r="B6" s="1" t="s">
        <v>5</v>
      </c>
    </row>
    <row r="7" spans="1:7" x14ac:dyDescent="0.4">
      <c r="B7" s="1" t="s">
        <v>43</v>
      </c>
    </row>
    <row r="9" spans="1:7" x14ac:dyDescent="0.4">
      <c r="B9" s="12" t="s">
        <v>49</v>
      </c>
    </row>
    <row r="10" spans="1:7" s="2" customFormat="1" x14ac:dyDescent="0.4">
      <c r="D10" s="2" t="s">
        <v>13</v>
      </c>
      <c r="E10" s="2" t="s">
        <v>34</v>
      </c>
      <c r="F10" s="2" t="s">
        <v>13</v>
      </c>
      <c r="G10" s="2" t="s">
        <v>13</v>
      </c>
    </row>
    <row r="11" spans="1:7" s="2" customFormat="1" x14ac:dyDescent="0.4">
      <c r="D11" s="2" t="s">
        <v>12</v>
      </c>
      <c r="E11" s="2" t="s">
        <v>35</v>
      </c>
      <c r="F11" s="2" t="s">
        <v>16</v>
      </c>
      <c r="G11" s="2" t="s">
        <v>16</v>
      </c>
    </row>
    <row r="12" spans="1:7" s="2" customFormat="1" x14ac:dyDescent="0.4">
      <c r="B12" s="2" t="s">
        <v>8</v>
      </c>
      <c r="C12" s="2" t="s">
        <v>0</v>
      </c>
      <c r="D12" s="17">
        <f>1+12+1+16</f>
        <v>30</v>
      </c>
      <c r="E12" s="17">
        <v>6</v>
      </c>
      <c r="F12" s="3">
        <f>D12*E12</f>
        <v>180</v>
      </c>
      <c r="G12" s="27">
        <v>400</v>
      </c>
    </row>
    <row r="13" spans="1:7" s="2" customFormat="1" x14ac:dyDescent="0.4">
      <c r="B13" s="2" t="s">
        <v>9</v>
      </c>
      <c r="C13" s="2" t="s">
        <v>1</v>
      </c>
      <c r="D13" s="17">
        <f>14+1*3</f>
        <v>17</v>
      </c>
      <c r="E13" s="17">
        <v>4</v>
      </c>
      <c r="F13" s="3">
        <f t="shared" ref="F13:F16" si="0">D13*E13</f>
        <v>68</v>
      </c>
      <c r="G13" s="3">
        <f>F13*G$12/F$12</f>
        <v>151.11111111111111</v>
      </c>
    </row>
    <row r="14" spans="1:7" s="2" customFormat="1" x14ac:dyDescent="0.4">
      <c r="B14" s="2" t="s">
        <v>31</v>
      </c>
      <c r="F14" s="3">
        <f>SUM(F12:F13)</f>
        <v>248</v>
      </c>
      <c r="G14" s="3">
        <f>SUM(G12:G13)</f>
        <v>551.11111111111109</v>
      </c>
    </row>
    <row r="15" spans="1:7" s="2" customFormat="1" x14ac:dyDescent="0.4">
      <c r="B15" s="2" t="s">
        <v>10</v>
      </c>
      <c r="C15" s="2" t="s">
        <v>7</v>
      </c>
      <c r="D15" s="17">
        <f>12*6+1*12+14*4</f>
        <v>140</v>
      </c>
      <c r="E15" s="17">
        <v>1</v>
      </c>
      <c r="F15" s="3">
        <f t="shared" si="0"/>
        <v>140</v>
      </c>
      <c r="G15" s="3">
        <f>F15*G$12/F$12</f>
        <v>311.11111111111109</v>
      </c>
    </row>
    <row r="16" spans="1:7" s="2" customFormat="1" x14ac:dyDescent="0.4">
      <c r="B16" s="2" t="s">
        <v>22</v>
      </c>
      <c r="C16" s="2" t="s">
        <v>6</v>
      </c>
      <c r="D16" s="17">
        <f>1*2+16</f>
        <v>18</v>
      </c>
      <c r="E16" s="17">
        <v>6</v>
      </c>
      <c r="F16" s="3">
        <f t="shared" si="0"/>
        <v>108</v>
      </c>
      <c r="G16" s="3">
        <f>F16*G$12/F$12</f>
        <v>240</v>
      </c>
    </row>
    <row r="17" spans="2:7" s="2" customFormat="1" x14ac:dyDescent="0.4">
      <c r="B17" s="2" t="s">
        <v>31</v>
      </c>
      <c r="F17" s="3">
        <f>SUM(F15:F16)</f>
        <v>248</v>
      </c>
      <c r="G17" s="3">
        <f>SUM(G15:G16)</f>
        <v>551.11111111111109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2DD1-9A27-4401-A502-6F81D47BAF2B}">
  <dimension ref="A1:N37"/>
  <sheetViews>
    <sheetView topLeftCell="A19" workbookViewId="0">
      <selection activeCell="G27" sqref="G27"/>
    </sheetView>
  </sheetViews>
  <sheetFormatPr defaultRowHeight="14.25" x14ac:dyDescent="0.4"/>
  <cols>
    <col min="1" max="1" width="5.625" style="1" customWidth="1"/>
    <col min="2" max="2" width="10.625" style="1" customWidth="1"/>
    <col min="3" max="15" width="8.625" style="1" customWidth="1"/>
    <col min="16" max="18" width="10.625" style="1" customWidth="1"/>
    <col min="19" max="16384" width="9" style="1"/>
  </cols>
  <sheetData>
    <row r="1" spans="1:14" x14ac:dyDescent="0.4">
      <c r="A1" s="12" t="s">
        <v>38</v>
      </c>
    </row>
    <row r="2" spans="1:14" x14ac:dyDescent="0.4">
      <c r="A2" s="1" t="s">
        <v>80</v>
      </c>
    </row>
    <row r="4" spans="1:14" x14ac:dyDescent="0.4">
      <c r="B4" s="12" t="s">
        <v>50</v>
      </c>
    </row>
    <row r="5" spans="1:14" s="2" customFormat="1" x14ac:dyDescent="0.4">
      <c r="B5" s="2" t="s">
        <v>40</v>
      </c>
      <c r="D5" s="2" t="s">
        <v>39</v>
      </c>
      <c r="E5" s="2" t="s">
        <v>25</v>
      </c>
    </row>
    <row r="6" spans="1:14" s="2" customFormat="1" x14ac:dyDescent="0.4">
      <c r="B6" s="2" t="s">
        <v>51</v>
      </c>
      <c r="D6" s="2">
        <v>0</v>
      </c>
      <c r="E6" s="2">
        <v>10</v>
      </c>
      <c r="F6" s="2">
        <v>20</v>
      </c>
      <c r="G6" s="2">
        <v>30</v>
      </c>
      <c r="H6" s="2">
        <v>40</v>
      </c>
      <c r="I6" s="2">
        <v>50</v>
      </c>
      <c r="J6" s="2">
        <v>60</v>
      </c>
      <c r="K6" s="2">
        <v>70</v>
      </c>
      <c r="L6" s="2">
        <v>80</v>
      </c>
      <c r="M6" s="2">
        <v>90</v>
      </c>
      <c r="N6" s="2">
        <v>100</v>
      </c>
    </row>
    <row r="7" spans="1:14" s="2" customFormat="1" x14ac:dyDescent="0.4">
      <c r="B7" s="2" t="s">
        <v>36</v>
      </c>
      <c r="C7" s="2">
        <v>10</v>
      </c>
      <c r="D7" s="17">
        <v>0</v>
      </c>
      <c r="E7" s="17">
        <v>8.0000000000000004E-4</v>
      </c>
      <c r="F7" s="17">
        <v>1.5E-3</v>
      </c>
      <c r="G7" s="17">
        <v>2.3E-3</v>
      </c>
      <c r="H7" s="17">
        <v>3.0000000000000001E-3</v>
      </c>
      <c r="I7" s="17">
        <v>3.8E-3</v>
      </c>
      <c r="J7" s="17">
        <v>4.5999999999999999E-3</v>
      </c>
      <c r="K7" s="17">
        <v>5.3E-3</v>
      </c>
      <c r="L7" s="17">
        <v>6.1000000000000004E-3</v>
      </c>
      <c r="M7" s="17">
        <v>6.8999999999999999E-3</v>
      </c>
      <c r="N7" s="17">
        <v>7.6E-3</v>
      </c>
    </row>
    <row r="8" spans="1:14" s="2" customFormat="1" x14ac:dyDescent="0.4">
      <c r="B8" s="2" t="s">
        <v>37</v>
      </c>
      <c r="C8" s="2">
        <v>15</v>
      </c>
      <c r="D8" s="17">
        <v>0</v>
      </c>
      <c r="E8" s="17">
        <v>1E-3</v>
      </c>
      <c r="F8" s="17">
        <v>2.0999999999999999E-3</v>
      </c>
      <c r="G8" s="17">
        <v>3.2000000000000002E-3</v>
      </c>
      <c r="H8" s="17">
        <v>4.1999999999999997E-3</v>
      </c>
      <c r="I8" s="17">
        <v>5.3E-3</v>
      </c>
      <c r="J8" s="17">
        <v>6.3E-3</v>
      </c>
      <c r="K8" s="17">
        <v>7.4000000000000003E-3</v>
      </c>
      <c r="L8" s="17">
        <v>8.5000000000000006E-3</v>
      </c>
      <c r="M8" s="17">
        <v>9.5999999999999992E-3</v>
      </c>
      <c r="N8" s="17">
        <v>1.06E-2</v>
      </c>
    </row>
    <row r="9" spans="1:14" s="2" customFormat="1" x14ac:dyDescent="0.4">
      <c r="C9" s="2">
        <v>20</v>
      </c>
      <c r="D9" s="17">
        <v>0</v>
      </c>
      <c r="E9" s="17">
        <v>1.4E-3</v>
      </c>
      <c r="F9" s="17">
        <v>2.8999999999999998E-3</v>
      </c>
      <c r="G9" s="17">
        <v>4.3E-3</v>
      </c>
      <c r="H9" s="17">
        <v>5.7999999999999996E-3</v>
      </c>
      <c r="I9" s="18">
        <v>7.3000000000000001E-3</v>
      </c>
      <c r="J9" s="19">
        <v>8.6999999999999994E-3</v>
      </c>
      <c r="K9" s="20">
        <v>1.0200000000000001E-2</v>
      </c>
      <c r="L9" s="17">
        <v>1.17E-2</v>
      </c>
      <c r="M9" s="17">
        <v>1.32E-2</v>
      </c>
      <c r="N9" s="17">
        <v>1.47E-2</v>
      </c>
    </row>
    <row r="10" spans="1:14" s="2" customFormat="1" x14ac:dyDescent="0.4">
      <c r="C10" s="2">
        <v>25</v>
      </c>
      <c r="D10" s="17">
        <v>0</v>
      </c>
      <c r="E10" s="17">
        <v>2E-3</v>
      </c>
      <c r="F10" s="17">
        <v>3.8999999999999998E-3</v>
      </c>
      <c r="G10" s="17">
        <v>5.8999999999999999E-3</v>
      </c>
      <c r="H10" s="17">
        <v>7.9000000000000008E-3</v>
      </c>
      <c r="I10" s="21">
        <v>9.9000000000000008E-3</v>
      </c>
      <c r="J10" s="17">
        <v>1.1900000000000001E-2</v>
      </c>
      <c r="K10" s="22">
        <v>1.3899999999999999E-2</v>
      </c>
      <c r="L10" s="17">
        <v>1.6E-2</v>
      </c>
      <c r="M10" s="17">
        <v>1.7999999999999999E-2</v>
      </c>
      <c r="N10" s="17">
        <v>2.01E-2</v>
      </c>
    </row>
    <row r="11" spans="1:14" s="2" customFormat="1" x14ac:dyDescent="0.4">
      <c r="C11" s="2">
        <v>30</v>
      </c>
      <c r="D11" s="17">
        <v>0</v>
      </c>
      <c r="E11" s="17">
        <v>2.5999999999999999E-3</v>
      </c>
      <c r="F11" s="17">
        <v>5.3E-3</v>
      </c>
      <c r="G11" s="17">
        <v>7.9000000000000008E-3</v>
      </c>
      <c r="H11" s="17">
        <v>1.06E-2</v>
      </c>
      <c r="I11" s="23">
        <v>1.3299999999999999E-2</v>
      </c>
      <c r="J11" s="24">
        <v>1.6E-2</v>
      </c>
      <c r="K11" s="25">
        <v>1.8800000000000001E-2</v>
      </c>
      <c r="L11" s="17">
        <v>2.1600000000000001E-2</v>
      </c>
      <c r="M11" s="17">
        <v>2.4400000000000002E-2</v>
      </c>
      <c r="N11" s="17">
        <v>2.7199999999999998E-2</v>
      </c>
    </row>
    <row r="12" spans="1:14" s="2" customFormat="1" x14ac:dyDescent="0.4">
      <c r="C12" s="2">
        <v>35</v>
      </c>
      <c r="D12" s="17">
        <v>0</v>
      </c>
      <c r="E12" s="17">
        <v>3.5000000000000001E-3</v>
      </c>
      <c r="F12" s="17">
        <v>7.0000000000000001E-3</v>
      </c>
      <c r="G12" s="17">
        <v>1.0500000000000001E-2</v>
      </c>
      <c r="H12" s="17">
        <v>1.41E-2</v>
      </c>
      <c r="I12" s="17">
        <v>1.78E-2</v>
      </c>
      <c r="J12" s="17">
        <v>2.1399999999999999E-2</v>
      </c>
      <c r="K12" s="17">
        <v>2.52E-2</v>
      </c>
      <c r="L12" s="17">
        <v>2.8899999999999999E-2</v>
      </c>
      <c r="M12" s="17">
        <v>3.27E-2</v>
      </c>
      <c r="N12" s="17">
        <v>3.6600000000000001E-2</v>
      </c>
    </row>
    <row r="13" spans="1:14" s="2" customFormat="1" x14ac:dyDescent="0.4">
      <c r="B13" s="2" t="s">
        <v>44</v>
      </c>
      <c r="C13" s="1" t="s">
        <v>45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5" spans="1:14" s="2" customFormat="1" x14ac:dyDescent="0.4">
      <c r="B15" s="2" t="s">
        <v>40</v>
      </c>
      <c r="D15" s="2" t="s">
        <v>39</v>
      </c>
      <c r="E15" s="2" t="s">
        <v>25</v>
      </c>
    </row>
    <row r="16" spans="1:14" s="2" customFormat="1" x14ac:dyDescent="0.4">
      <c r="B16" s="2" t="s">
        <v>41</v>
      </c>
      <c r="D16" s="2">
        <v>0</v>
      </c>
      <c r="E16" s="2">
        <v>10</v>
      </c>
      <c r="F16" s="2">
        <v>20</v>
      </c>
      <c r="G16" s="2">
        <v>30</v>
      </c>
      <c r="H16" s="2">
        <v>40</v>
      </c>
      <c r="I16" s="2">
        <v>50</v>
      </c>
      <c r="J16" s="2">
        <v>60</v>
      </c>
      <c r="K16" s="2">
        <v>70</v>
      </c>
      <c r="L16" s="2">
        <v>80</v>
      </c>
      <c r="M16" s="2">
        <v>90</v>
      </c>
      <c r="N16" s="2">
        <v>100</v>
      </c>
    </row>
    <row r="17" spans="2:14" s="2" customFormat="1" x14ac:dyDescent="0.4">
      <c r="B17" s="2" t="s">
        <v>36</v>
      </c>
      <c r="C17" s="2">
        <v>10</v>
      </c>
      <c r="D17" s="3">
        <f t="shared" ref="D17:D22" si="0">D7*1000</f>
        <v>0</v>
      </c>
      <c r="E17" s="3">
        <f t="shared" ref="E17:N17" si="1">E7*1000</f>
        <v>0.8</v>
      </c>
      <c r="F17" s="3">
        <f t="shared" si="1"/>
        <v>1.5</v>
      </c>
      <c r="G17" s="3">
        <f t="shared" si="1"/>
        <v>2.2999999999999998</v>
      </c>
      <c r="H17" s="3">
        <f t="shared" si="1"/>
        <v>3</v>
      </c>
      <c r="I17" s="3">
        <f t="shared" si="1"/>
        <v>3.8</v>
      </c>
      <c r="J17" s="3">
        <f t="shared" si="1"/>
        <v>4.5999999999999996</v>
      </c>
      <c r="K17" s="3">
        <f t="shared" si="1"/>
        <v>5.3</v>
      </c>
      <c r="L17" s="3">
        <f t="shared" si="1"/>
        <v>6.1000000000000005</v>
      </c>
      <c r="M17" s="3">
        <f t="shared" si="1"/>
        <v>6.8999999999999995</v>
      </c>
      <c r="N17" s="3">
        <f t="shared" si="1"/>
        <v>7.6</v>
      </c>
    </row>
    <row r="18" spans="2:14" s="2" customFormat="1" x14ac:dyDescent="0.4">
      <c r="B18" s="2" t="s">
        <v>37</v>
      </c>
      <c r="C18" s="2">
        <v>15</v>
      </c>
      <c r="D18" s="3">
        <f t="shared" si="0"/>
        <v>0</v>
      </c>
      <c r="E18" s="3">
        <f t="shared" ref="E18:N18" si="2">E8*1000</f>
        <v>1</v>
      </c>
      <c r="F18" s="3">
        <f t="shared" si="2"/>
        <v>2.1</v>
      </c>
      <c r="G18" s="3">
        <f t="shared" si="2"/>
        <v>3.2</v>
      </c>
      <c r="H18" s="3">
        <f t="shared" si="2"/>
        <v>4.2</v>
      </c>
      <c r="I18" s="3">
        <f t="shared" si="2"/>
        <v>5.3</v>
      </c>
      <c r="J18" s="3">
        <f t="shared" si="2"/>
        <v>6.3</v>
      </c>
      <c r="K18" s="3">
        <f t="shared" si="2"/>
        <v>7.4</v>
      </c>
      <c r="L18" s="3">
        <f t="shared" si="2"/>
        <v>8.5</v>
      </c>
      <c r="M18" s="3">
        <f t="shared" si="2"/>
        <v>9.6</v>
      </c>
      <c r="N18" s="3">
        <f t="shared" si="2"/>
        <v>10.6</v>
      </c>
    </row>
    <row r="19" spans="2:14" s="2" customFormat="1" x14ac:dyDescent="0.4">
      <c r="C19" s="2">
        <v>20</v>
      </c>
      <c r="D19" s="3">
        <f t="shared" si="0"/>
        <v>0</v>
      </c>
      <c r="E19" s="3">
        <f t="shared" ref="E19:N19" si="3">E9*1000</f>
        <v>1.4</v>
      </c>
      <c r="F19" s="3">
        <f t="shared" si="3"/>
        <v>2.9</v>
      </c>
      <c r="G19" s="3">
        <f t="shared" si="3"/>
        <v>4.3</v>
      </c>
      <c r="H19" s="3">
        <f t="shared" si="3"/>
        <v>5.8</v>
      </c>
      <c r="I19" s="4">
        <f t="shared" si="3"/>
        <v>7.3</v>
      </c>
      <c r="J19" s="5">
        <f t="shared" si="3"/>
        <v>8.6999999999999993</v>
      </c>
      <c r="K19" s="6">
        <f t="shared" si="3"/>
        <v>10.200000000000001</v>
      </c>
      <c r="L19" s="3">
        <f t="shared" si="3"/>
        <v>11.700000000000001</v>
      </c>
      <c r="M19" s="3">
        <f t="shared" si="3"/>
        <v>13.2</v>
      </c>
      <c r="N19" s="3">
        <f t="shared" si="3"/>
        <v>14.7</v>
      </c>
    </row>
    <row r="20" spans="2:14" s="2" customFormat="1" x14ac:dyDescent="0.4">
      <c r="C20" s="2">
        <v>25</v>
      </c>
      <c r="D20" s="3">
        <f t="shared" si="0"/>
        <v>0</v>
      </c>
      <c r="E20" s="3">
        <f t="shared" ref="E20:N20" si="4">E10*1000</f>
        <v>2</v>
      </c>
      <c r="F20" s="3">
        <f t="shared" si="4"/>
        <v>3.9</v>
      </c>
      <c r="G20" s="3">
        <f t="shared" si="4"/>
        <v>5.8999999999999995</v>
      </c>
      <c r="H20" s="3">
        <f t="shared" si="4"/>
        <v>7.9</v>
      </c>
      <c r="I20" s="7">
        <f t="shared" si="4"/>
        <v>9.9</v>
      </c>
      <c r="J20" s="3">
        <f t="shared" si="4"/>
        <v>11.9</v>
      </c>
      <c r="K20" s="8">
        <f t="shared" si="4"/>
        <v>13.899999999999999</v>
      </c>
      <c r="L20" s="3">
        <f t="shared" si="4"/>
        <v>16</v>
      </c>
      <c r="M20" s="3">
        <f t="shared" si="4"/>
        <v>18</v>
      </c>
      <c r="N20" s="3">
        <f t="shared" si="4"/>
        <v>20.100000000000001</v>
      </c>
    </row>
    <row r="21" spans="2:14" s="2" customFormat="1" x14ac:dyDescent="0.4">
      <c r="C21" s="2">
        <v>30</v>
      </c>
      <c r="D21" s="3">
        <f t="shared" si="0"/>
        <v>0</v>
      </c>
      <c r="E21" s="3">
        <f t="shared" ref="E21:N21" si="5">E11*1000</f>
        <v>2.6</v>
      </c>
      <c r="F21" s="3">
        <f t="shared" si="5"/>
        <v>5.3</v>
      </c>
      <c r="G21" s="3">
        <f t="shared" si="5"/>
        <v>7.9</v>
      </c>
      <c r="H21" s="3">
        <f t="shared" si="5"/>
        <v>10.6</v>
      </c>
      <c r="I21" s="9">
        <f t="shared" si="5"/>
        <v>13.299999999999999</v>
      </c>
      <c r="J21" s="10">
        <f t="shared" si="5"/>
        <v>16</v>
      </c>
      <c r="K21" s="11">
        <f t="shared" si="5"/>
        <v>18.8</v>
      </c>
      <c r="L21" s="3">
        <f t="shared" si="5"/>
        <v>21.6</v>
      </c>
      <c r="M21" s="3">
        <f t="shared" si="5"/>
        <v>24.400000000000002</v>
      </c>
      <c r="N21" s="3">
        <f t="shared" si="5"/>
        <v>27.2</v>
      </c>
    </row>
    <row r="22" spans="2:14" s="2" customFormat="1" x14ac:dyDescent="0.4">
      <c r="C22" s="2">
        <v>35</v>
      </c>
      <c r="D22" s="3">
        <f t="shared" si="0"/>
        <v>0</v>
      </c>
      <c r="E22" s="3">
        <f t="shared" ref="E22:N22" si="6">E12*1000</f>
        <v>3.5</v>
      </c>
      <c r="F22" s="3">
        <f t="shared" si="6"/>
        <v>7</v>
      </c>
      <c r="G22" s="3">
        <f t="shared" si="6"/>
        <v>10.5</v>
      </c>
      <c r="H22" s="3">
        <f t="shared" si="6"/>
        <v>14.1</v>
      </c>
      <c r="I22" s="3">
        <f t="shared" si="6"/>
        <v>17.8</v>
      </c>
      <c r="J22" s="3">
        <f t="shared" si="6"/>
        <v>21.4</v>
      </c>
      <c r="K22" s="3">
        <f t="shared" si="6"/>
        <v>25.2</v>
      </c>
      <c r="L22" s="3">
        <f t="shared" si="6"/>
        <v>28.9</v>
      </c>
      <c r="M22" s="3">
        <f t="shared" si="6"/>
        <v>32.700000000000003</v>
      </c>
      <c r="N22" s="3">
        <f t="shared" si="6"/>
        <v>36.6</v>
      </c>
    </row>
    <row r="24" spans="2:14" x14ac:dyDescent="0.4">
      <c r="B24" s="12" t="s">
        <v>52</v>
      </c>
    </row>
    <row r="25" spans="2:14" s="2" customFormat="1" x14ac:dyDescent="0.4">
      <c r="C25" s="2" t="s">
        <v>13</v>
      </c>
      <c r="D25" s="2" t="s">
        <v>14</v>
      </c>
      <c r="E25" s="2" t="s">
        <v>13</v>
      </c>
      <c r="F25" s="2" t="s">
        <v>14</v>
      </c>
      <c r="G25" s="2" t="s">
        <v>14</v>
      </c>
      <c r="H25" s="2" t="s">
        <v>13</v>
      </c>
    </row>
    <row r="26" spans="2:14" s="2" customFormat="1" x14ac:dyDescent="0.4">
      <c r="C26" s="2" t="s">
        <v>12</v>
      </c>
      <c r="D26" s="2" t="s">
        <v>15</v>
      </c>
      <c r="E26" s="2" t="s">
        <v>16</v>
      </c>
      <c r="F26" s="2" t="s">
        <v>17</v>
      </c>
      <c r="G26" s="2" t="s">
        <v>17</v>
      </c>
      <c r="H26" s="2" t="s">
        <v>16</v>
      </c>
    </row>
    <row r="27" spans="2:14" x14ac:dyDescent="0.4">
      <c r="B27" s="2" t="s">
        <v>4</v>
      </c>
      <c r="C27" s="17">
        <f>Sheet1!D10</f>
        <v>28.959999999999997</v>
      </c>
      <c r="D27" s="17">
        <f>Sheet1!F10</f>
        <v>22.4</v>
      </c>
      <c r="E27" s="27">
        <v>1000</v>
      </c>
      <c r="F27" s="13">
        <f>D27*(E27/C27)</f>
        <v>773.48066298342542</v>
      </c>
      <c r="G27" s="27">
        <v>1000</v>
      </c>
      <c r="H27" s="3">
        <f>C27*(G27/D27)</f>
        <v>1292.8571428571429</v>
      </c>
    </row>
    <row r="29" spans="2:14" x14ac:dyDescent="0.4">
      <c r="B29" s="12" t="s">
        <v>53</v>
      </c>
    </row>
    <row r="30" spans="2:14" s="2" customFormat="1" x14ac:dyDescent="0.4">
      <c r="B30" s="2" t="s">
        <v>40</v>
      </c>
      <c r="D30" s="2" t="s">
        <v>39</v>
      </c>
      <c r="E30" s="2" t="s">
        <v>25</v>
      </c>
    </row>
    <row r="31" spans="2:14" s="2" customFormat="1" x14ac:dyDescent="0.4">
      <c r="B31" s="2" t="s">
        <v>42</v>
      </c>
      <c r="D31" s="2">
        <v>0</v>
      </c>
      <c r="E31" s="2">
        <v>10</v>
      </c>
      <c r="F31" s="2">
        <v>20</v>
      </c>
      <c r="G31" s="2">
        <v>30</v>
      </c>
      <c r="H31" s="2">
        <v>40</v>
      </c>
      <c r="I31" s="2">
        <v>50</v>
      </c>
      <c r="J31" s="2">
        <v>60</v>
      </c>
      <c r="K31" s="2">
        <v>70</v>
      </c>
      <c r="L31" s="2">
        <v>80</v>
      </c>
      <c r="M31" s="2">
        <v>90</v>
      </c>
      <c r="N31" s="2">
        <v>100</v>
      </c>
    </row>
    <row r="32" spans="2:14" s="2" customFormat="1" x14ac:dyDescent="0.4">
      <c r="B32" s="2" t="s">
        <v>36</v>
      </c>
      <c r="C32" s="2">
        <v>10</v>
      </c>
      <c r="D32" s="3">
        <f>ROUND(D17*($H$27/1000),1)</f>
        <v>0</v>
      </c>
      <c r="E32" s="3">
        <f>ROUND(E17*($H$27/1000),1)</f>
        <v>1</v>
      </c>
      <c r="F32" s="3">
        <f t="shared" ref="F32:N32" si="7">ROUND(F17*($H$27/1000),1)</f>
        <v>1.9</v>
      </c>
      <c r="G32" s="3">
        <f t="shared" si="7"/>
        <v>3</v>
      </c>
      <c r="H32" s="3">
        <f t="shared" si="7"/>
        <v>3.9</v>
      </c>
      <c r="I32" s="3">
        <f t="shared" si="7"/>
        <v>4.9000000000000004</v>
      </c>
      <c r="J32" s="3">
        <f t="shared" si="7"/>
        <v>5.9</v>
      </c>
      <c r="K32" s="3">
        <f t="shared" si="7"/>
        <v>6.9</v>
      </c>
      <c r="L32" s="3">
        <f t="shared" si="7"/>
        <v>7.9</v>
      </c>
      <c r="M32" s="3">
        <f t="shared" si="7"/>
        <v>8.9</v>
      </c>
      <c r="N32" s="3">
        <f t="shared" si="7"/>
        <v>9.8000000000000007</v>
      </c>
    </row>
    <row r="33" spans="2:14" s="2" customFormat="1" x14ac:dyDescent="0.4">
      <c r="B33" s="2" t="s">
        <v>37</v>
      </c>
      <c r="C33" s="2">
        <v>15</v>
      </c>
      <c r="D33" s="3">
        <f t="shared" ref="D33:N37" si="8">ROUND(D18*($H$27/1000),1)</f>
        <v>0</v>
      </c>
      <c r="E33" s="3">
        <f t="shared" si="8"/>
        <v>1.3</v>
      </c>
      <c r="F33" s="3">
        <f t="shared" si="8"/>
        <v>2.7</v>
      </c>
      <c r="G33" s="3">
        <f t="shared" si="8"/>
        <v>4.0999999999999996</v>
      </c>
      <c r="H33" s="3">
        <f t="shared" si="8"/>
        <v>5.4</v>
      </c>
      <c r="I33" s="3">
        <f t="shared" si="8"/>
        <v>6.9</v>
      </c>
      <c r="J33" s="3">
        <f t="shared" si="8"/>
        <v>8.1</v>
      </c>
      <c r="K33" s="3">
        <f t="shared" si="8"/>
        <v>9.6</v>
      </c>
      <c r="L33" s="3">
        <f t="shared" si="8"/>
        <v>11</v>
      </c>
      <c r="M33" s="3">
        <f t="shared" si="8"/>
        <v>12.4</v>
      </c>
      <c r="N33" s="3">
        <f t="shared" si="8"/>
        <v>13.7</v>
      </c>
    </row>
    <row r="34" spans="2:14" s="2" customFormat="1" x14ac:dyDescent="0.4">
      <c r="C34" s="2">
        <v>20</v>
      </c>
      <c r="D34" s="3">
        <f t="shared" si="8"/>
        <v>0</v>
      </c>
      <c r="E34" s="3">
        <f t="shared" si="8"/>
        <v>1.8</v>
      </c>
      <c r="F34" s="3">
        <f t="shared" si="8"/>
        <v>3.7</v>
      </c>
      <c r="G34" s="3">
        <f t="shared" si="8"/>
        <v>5.6</v>
      </c>
      <c r="H34" s="3">
        <f t="shared" si="8"/>
        <v>7.5</v>
      </c>
      <c r="I34" s="4">
        <f t="shared" si="8"/>
        <v>9.4</v>
      </c>
      <c r="J34" s="5">
        <f t="shared" si="8"/>
        <v>11.2</v>
      </c>
      <c r="K34" s="6">
        <f t="shared" si="8"/>
        <v>13.2</v>
      </c>
      <c r="L34" s="3">
        <f t="shared" si="8"/>
        <v>15.1</v>
      </c>
      <c r="M34" s="3">
        <f t="shared" si="8"/>
        <v>17.100000000000001</v>
      </c>
      <c r="N34" s="3">
        <f t="shared" si="8"/>
        <v>19</v>
      </c>
    </row>
    <row r="35" spans="2:14" s="2" customFormat="1" x14ac:dyDescent="0.4">
      <c r="C35" s="2">
        <v>25</v>
      </c>
      <c r="D35" s="3">
        <f t="shared" si="8"/>
        <v>0</v>
      </c>
      <c r="E35" s="3">
        <f t="shared" si="8"/>
        <v>2.6</v>
      </c>
      <c r="F35" s="3">
        <f t="shared" si="8"/>
        <v>5</v>
      </c>
      <c r="G35" s="3">
        <f t="shared" si="8"/>
        <v>7.6</v>
      </c>
      <c r="H35" s="3">
        <f t="shared" si="8"/>
        <v>10.199999999999999</v>
      </c>
      <c r="I35" s="7">
        <f t="shared" si="8"/>
        <v>12.8</v>
      </c>
      <c r="J35" s="3">
        <f t="shared" si="8"/>
        <v>15.4</v>
      </c>
      <c r="K35" s="8">
        <f t="shared" si="8"/>
        <v>18</v>
      </c>
      <c r="L35" s="3">
        <f t="shared" si="8"/>
        <v>20.7</v>
      </c>
      <c r="M35" s="3">
        <f t="shared" si="8"/>
        <v>23.3</v>
      </c>
      <c r="N35" s="3">
        <f t="shared" si="8"/>
        <v>26</v>
      </c>
    </row>
    <row r="36" spans="2:14" s="2" customFormat="1" x14ac:dyDescent="0.4">
      <c r="C36" s="2">
        <v>30</v>
      </c>
      <c r="D36" s="3">
        <f t="shared" si="8"/>
        <v>0</v>
      </c>
      <c r="E36" s="3">
        <f t="shared" si="8"/>
        <v>3.4</v>
      </c>
      <c r="F36" s="3">
        <f t="shared" si="8"/>
        <v>6.9</v>
      </c>
      <c r="G36" s="3">
        <f t="shared" si="8"/>
        <v>10.199999999999999</v>
      </c>
      <c r="H36" s="3">
        <f t="shared" si="8"/>
        <v>13.7</v>
      </c>
      <c r="I36" s="9">
        <f t="shared" si="8"/>
        <v>17.2</v>
      </c>
      <c r="J36" s="10">
        <f t="shared" si="8"/>
        <v>20.7</v>
      </c>
      <c r="K36" s="11">
        <f t="shared" si="8"/>
        <v>24.3</v>
      </c>
      <c r="L36" s="3">
        <f t="shared" si="8"/>
        <v>27.9</v>
      </c>
      <c r="M36" s="3">
        <f t="shared" si="8"/>
        <v>31.5</v>
      </c>
      <c r="N36" s="3">
        <f t="shared" si="8"/>
        <v>35.200000000000003</v>
      </c>
    </row>
    <row r="37" spans="2:14" s="2" customFormat="1" x14ac:dyDescent="0.4">
      <c r="C37" s="2">
        <v>35</v>
      </c>
      <c r="D37" s="3">
        <f t="shared" si="8"/>
        <v>0</v>
      </c>
      <c r="E37" s="3">
        <f t="shared" si="8"/>
        <v>4.5</v>
      </c>
      <c r="F37" s="3">
        <f t="shared" si="8"/>
        <v>9.1</v>
      </c>
      <c r="G37" s="3">
        <f t="shared" si="8"/>
        <v>13.6</v>
      </c>
      <c r="H37" s="3">
        <f t="shared" si="8"/>
        <v>18.2</v>
      </c>
      <c r="I37" s="3">
        <f t="shared" si="8"/>
        <v>23</v>
      </c>
      <c r="J37" s="3">
        <f t="shared" si="8"/>
        <v>27.7</v>
      </c>
      <c r="K37" s="3">
        <f t="shared" si="8"/>
        <v>32.6</v>
      </c>
      <c r="L37" s="3">
        <f t="shared" si="8"/>
        <v>37.4</v>
      </c>
      <c r="M37" s="3">
        <f t="shared" si="8"/>
        <v>42.3</v>
      </c>
      <c r="N37" s="3">
        <f t="shared" si="8"/>
        <v>47.3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9755F-7074-42F3-B7EF-F1B51E44492E}">
  <dimension ref="A1:F15"/>
  <sheetViews>
    <sheetView topLeftCell="A4" workbookViewId="0">
      <selection activeCell="A14" sqref="A14:XFD14"/>
    </sheetView>
  </sheetViews>
  <sheetFormatPr defaultRowHeight="14.25" x14ac:dyDescent="0.4"/>
  <cols>
    <col min="1" max="1" width="5.625" style="1" customWidth="1"/>
    <col min="2" max="2" width="20.625" style="14" customWidth="1"/>
    <col min="3" max="6" width="10.625" style="1" customWidth="1"/>
    <col min="7" max="16384" width="9" style="1"/>
  </cols>
  <sheetData>
    <row r="1" spans="1:6" x14ac:dyDescent="0.4">
      <c r="A1" s="12" t="s">
        <v>54</v>
      </c>
    </row>
    <row r="2" spans="1:6" x14ac:dyDescent="0.4">
      <c r="A2" s="1" t="s">
        <v>80</v>
      </c>
      <c r="B2" s="1"/>
    </row>
    <row r="4" spans="1:6" x14ac:dyDescent="0.4">
      <c r="B4" s="12" t="s">
        <v>70</v>
      </c>
    </row>
    <row r="5" spans="1:6" ht="28.5" x14ac:dyDescent="0.4">
      <c r="B5" s="14" t="s">
        <v>56</v>
      </c>
      <c r="C5" s="1" t="s">
        <v>37</v>
      </c>
      <c r="D5" s="1">
        <v>100</v>
      </c>
      <c r="E5" s="1">
        <v>100</v>
      </c>
      <c r="F5" s="1">
        <v>100</v>
      </c>
    </row>
    <row r="6" spans="1:6" x14ac:dyDescent="0.4">
      <c r="B6" s="14" t="s">
        <v>55</v>
      </c>
      <c r="C6" s="1" t="s">
        <v>37</v>
      </c>
      <c r="D6" s="27">
        <v>30</v>
      </c>
      <c r="E6" s="27">
        <v>30</v>
      </c>
      <c r="F6" s="27">
        <v>30</v>
      </c>
    </row>
    <row r="7" spans="1:6" ht="28.5" x14ac:dyDescent="0.4">
      <c r="B7" s="14" t="s">
        <v>57</v>
      </c>
      <c r="C7" s="1" t="s">
        <v>37</v>
      </c>
      <c r="D7" s="13">
        <f>D5-D6</f>
        <v>70</v>
      </c>
      <c r="E7" s="13">
        <f>E5-E6</f>
        <v>70</v>
      </c>
      <c r="F7" s="13">
        <f>F5-F6</f>
        <v>70</v>
      </c>
    </row>
    <row r="8" spans="1:6" ht="42.75" x14ac:dyDescent="0.4">
      <c r="B8" s="14" t="s">
        <v>59</v>
      </c>
      <c r="C8" s="1" t="s">
        <v>58</v>
      </c>
      <c r="D8" s="1">
        <v>540</v>
      </c>
      <c r="E8" s="1">
        <v>540</v>
      </c>
      <c r="F8" s="1">
        <v>540</v>
      </c>
    </row>
    <row r="9" spans="1:6" ht="28.5" x14ac:dyDescent="0.4">
      <c r="B9" s="14" t="s">
        <v>71</v>
      </c>
      <c r="C9" s="1" t="s">
        <v>58</v>
      </c>
      <c r="D9" s="13">
        <f>D7+D8</f>
        <v>610</v>
      </c>
      <c r="E9" s="13">
        <f>E7+E8</f>
        <v>610</v>
      </c>
      <c r="F9" s="13">
        <f>F7+F8</f>
        <v>610</v>
      </c>
    </row>
    <row r="10" spans="1:6" x14ac:dyDescent="0.4">
      <c r="B10" s="14" t="s">
        <v>62</v>
      </c>
      <c r="C10" s="1" t="s">
        <v>63</v>
      </c>
      <c r="D10" s="27">
        <v>0.5</v>
      </c>
      <c r="E10" s="27">
        <v>0.2</v>
      </c>
      <c r="F10" s="27">
        <v>2</v>
      </c>
    </row>
    <row r="11" spans="1:6" x14ac:dyDescent="0.4">
      <c r="B11" s="14" t="s">
        <v>60</v>
      </c>
      <c r="C11" s="1" t="s">
        <v>61</v>
      </c>
      <c r="D11" s="13">
        <f>D9*D10</f>
        <v>305</v>
      </c>
      <c r="E11" s="13">
        <f>E9*E10</f>
        <v>122</v>
      </c>
      <c r="F11" s="13">
        <f>F9*F10</f>
        <v>1220</v>
      </c>
    </row>
    <row r="12" spans="1:6" x14ac:dyDescent="0.4">
      <c r="B12" s="14" t="s">
        <v>64</v>
      </c>
      <c r="C12" s="1" t="s">
        <v>65</v>
      </c>
      <c r="D12" s="1">
        <v>860</v>
      </c>
      <c r="E12" s="1">
        <v>860</v>
      </c>
      <c r="F12" s="1">
        <v>860</v>
      </c>
    </row>
    <row r="13" spans="1:6" x14ac:dyDescent="0.4">
      <c r="B13" s="14" t="s">
        <v>66</v>
      </c>
      <c r="C13" s="1" t="s">
        <v>67</v>
      </c>
      <c r="D13" s="27">
        <v>0.3</v>
      </c>
      <c r="E13" s="27">
        <v>0.18</v>
      </c>
      <c r="F13" s="27">
        <f>0.18*4</f>
        <v>0.72</v>
      </c>
    </row>
    <row r="14" spans="1:6" x14ac:dyDescent="0.4">
      <c r="B14" s="14" t="s">
        <v>54</v>
      </c>
      <c r="C14" s="1" t="s">
        <v>68</v>
      </c>
      <c r="D14" s="16">
        <f>(D11/D12)/D13</f>
        <v>1.182170542635659</v>
      </c>
      <c r="E14" s="16">
        <f>(E11/E12)/E13</f>
        <v>0.78811369509043927</v>
      </c>
      <c r="F14" s="16">
        <f>(F11/F12)/F13</f>
        <v>1.9702842377260983</v>
      </c>
    </row>
    <row r="15" spans="1:6" x14ac:dyDescent="0.4">
      <c r="C15" s="1" t="s">
        <v>69</v>
      </c>
      <c r="D15" s="15">
        <f>D14*60</f>
        <v>70.930232558139537</v>
      </c>
      <c r="E15" s="15">
        <f>E14*60</f>
        <v>47.286821705426355</v>
      </c>
      <c r="F15" s="15">
        <f>F14*60</f>
        <v>118.2170542635659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382E-E23A-4BBF-93DE-CF5FF4DC866A}">
  <dimension ref="A1:D9"/>
  <sheetViews>
    <sheetView tabSelected="1" workbookViewId="0">
      <selection activeCell="C9" sqref="C9"/>
    </sheetView>
  </sheetViews>
  <sheetFormatPr defaultRowHeight="14.25" x14ac:dyDescent="0.4"/>
  <cols>
    <col min="1" max="1" width="5.625" style="1" customWidth="1"/>
    <col min="2" max="2" width="20.625" style="14" customWidth="1"/>
    <col min="3" max="16384" width="9" style="1"/>
  </cols>
  <sheetData>
    <row r="1" spans="1:4" x14ac:dyDescent="0.4">
      <c r="A1" s="12" t="s">
        <v>75</v>
      </c>
    </row>
    <row r="2" spans="1:4" x14ac:dyDescent="0.4">
      <c r="A2" s="1" t="s">
        <v>80</v>
      </c>
      <c r="B2" s="1"/>
    </row>
    <row r="4" spans="1:4" x14ac:dyDescent="0.4">
      <c r="B4" s="12" t="s">
        <v>79</v>
      </c>
    </row>
    <row r="5" spans="1:4" ht="28.5" x14ac:dyDescent="0.4">
      <c r="B5" s="14" t="s">
        <v>74</v>
      </c>
      <c r="C5" s="1" t="s">
        <v>25</v>
      </c>
      <c r="D5" s="27">
        <v>40</v>
      </c>
    </row>
    <row r="6" spans="1:4" x14ac:dyDescent="0.4">
      <c r="B6" s="14" t="s">
        <v>76</v>
      </c>
      <c r="C6" s="1" t="s">
        <v>25</v>
      </c>
      <c r="D6" s="13">
        <f>100-D5</f>
        <v>60</v>
      </c>
    </row>
    <row r="7" spans="1:4" ht="28.5" x14ac:dyDescent="0.4">
      <c r="B7" s="26" t="s">
        <v>77</v>
      </c>
      <c r="C7" s="1" t="s">
        <v>16</v>
      </c>
      <c r="D7" s="27">
        <v>10</v>
      </c>
    </row>
    <row r="8" spans="1:4" ht="28.5" x14ac:dyDescent="0.4">
      <c r="B8" s="14" t="s">
        <v>78</v>
      </c>
      <c r="C8" s="1" t="s">
        <v>16</v>
      </c>
      <c r="D8" s="13">
        <f>D7/(D5/100)</f>
        <v>25</v>
      </c>
    </row>
    <row r="9" spans="1:4" x14ac:dyDescent="0.4">
      <c r="B9" s="2" t="s">
        <v>81</v>
      </c>
      <c r="C9" s="1" t="s">
        <v>82</v>
      </c>
      <c r="D9" s="1">
        <v>1.08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三木一家</dc:creator>
  <cp:lastModifiedBy>秀樹 三木</cp:lastModifiedBy>
  <dcterms:created xsi:type="dcterms:W3CDTF">2021-12-13T13:32:34Z</dcterms:created>
  <dcterms:modified xsi:type="dcterms:W3CDTF">2023-12-16T20:29:49Z</dcterms:modified>
</cp:coreProperties>
</file>